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170" windowWidth="26550" windowHeight="14970" activeTab="0"/>
  </bookViews>
  <sheets>
    <sheet name="Sheet1" sheetId="1" r:id="rId1"/>
    <sheet name="Sheet1 (2)" sheetId="2" state="hidden" r:id="rId2"/>
    <sheet name="Sheet4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<sst xmlns="http://schemas.openxmlformats.org/spreadsheetml/2006/main" count="124" uniqueCount="65">
  <si>
    <t>Only change values in the orange input cells.  Everything else is calculated</t>
  </si>
  <si>
    <t>Tier</t>
  </si>
  <si>
    <t>% per hour</t>
  </si>
  <si>
    <t>Maximum Weeks</t>
  </si>
  <si>
    <t>LAB Tier</t>
  </si>
  <si>
    <t>Students</t>
  </si>
  <si>
    <t>Hours</t>
  </si>
  <si>
    <t>Units</t>
  </si>
  <si>
    <t>Load</t>
  </si>
  <si>
    <t>Productivity</t>
  </si>
  <si>
    <t>NonCredit</t>
  </si>
  <si>
    <t>Weekly</t>
  </si>
  <si>
    <t>Semester</t>
  </si>
  <si>
    <t>%</t>
  </si>
  <si>
    <t>FTEF</t>
  </si>
  <si>
    <t>FTES</t>
  </si>
  <si>
    <t>FTES/FTEF</t>
  </si>
  <si>
    <t>CDCP</t>
  </si>
  <si>
    <t>Lecture</t>
  </si>
  <si>
    <t>UnitB</t>
  </si>
  <si>
    <t>Lab / Other</t>
  </si>
  <si>
    <t>Allied</t>
  </si>
  <si>
    <t>Activity</t>
  </si>
  <si>
    <t>Contact Total</t>
  </si>
  <si>
    <t>HW</t>
  </si>
  <si>
    <t>5 Minute Increments</t>
  </si>
  <si>
    <t>Total</t>
  </si>
  <si>
    <t>Scheduled Weeks</t>
  </si>
  <si>
    <t>Classes per week</t>
  </si>
  <si>
    <t>(must be less than max)</t>
  </si>
  <si>
    <t>HH:MN</t>
  </si>
  <si>
    <t>HW (Lec*2)</t>
  </si>
  <si>
    <t>CUL253</t>
  </si>
  <si>
    <t>Weeks</t>
  </si>
  <si>
    <t>Week</t>
  </si>
  <si>
    <t>Lecture Hours</t>
  </si>
  <si>
    <t>HW Hours (Lec*2)</t>
  </si>
  <si>
    <t>Lab Hours</t>
  </si>
  <si>
    <t>4 Classes = CUL253</t>
  </si>
  <si>
    <t>CUL256</t>
  </si>
  <si>
    <t>4 Classes</t>
  </si>
  <si>
    <t>Diff?</t>
  </si>
  <si>
    <t>Homework Hours</t>
  </si>
  <si>
    <t>Total Hours</t>
  </si>
  <si>
    <t>CUL256.12</t>
  </si>
  <si>
    <t>*FTEF will be doubled if two teachers teaching at the same time</t>
  </si>
  <si>
    <t>CUL253.11</t>
  </si>
  <si>
    <t>CUL253.10</t>
  </si>
  <si>
    <t>Faculty Load Conversion Table</t>
  </si>
  <si>
    <t>Effective Fall 2020</t>
  </si>
  <si>
    <t>These load rates are based on semester length classes (17.5 weeks).</t>
  </si>
  <si>
    <t>Hrs per week</t>
  </si>
  <si>
    <t>Credit Lecture</t>
  </si>
  <si>
    <t>Credit Lab Tier 1</t>
  </si>
  <si>
    <t>Credit Lab Tier 2</t>
  </si>
  <si>
    <t>Credit Lab Tier 3</t>
  </si>
  <si>
    <t>Non-credit Unit A</t>
  </si>
  <si>
    <t>Non-credit Unit B</t>
  </si>
  <si>
    <t>15 hrs = 100%</t>
  </si>
  <si>
    <t>20 hrs =   100%</t>
  </si>
  <si>
    <t>18.75 hrs = 100%</t>
  </si>
  <si>
    <t>24 hrs = 100%</t>
  </si>
  <si>
    <t>30 hrs = 100%</t>
  </si>
  <si>
    <t>35 hrs = 100%</t>
  </si>
  <si>
    <t>21.5 hr = 100%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</si>
</sst>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Arial"/>
      <family val="2"/>
    </font>
    <font>
      <sz val="12"/>
      <color indexed="8"/>
      <name val="Helvetica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Helvetica"/>
      <family val="2"/>
    </font>
    <font>
      <b/>
      <sz val="10"/>
      <color indexed="8"/>
      <name val="Arial"/>
      <family val="2"/>
    </font>
    <font>
      <b/>
      <sz val="10"/>
      <color indexed="8"/>
      <name val="Helvetica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F3F76"/>
      <name val="Calibri"/>
      <family val="2"/>
    </font>
    <font>
      <b/>
      <sz val="14"/>
      <color theme="1"/>
      <name val="Arial"/>
      <family val="2"/>
    </font>
    <font>
      <sz val="12"/>
      <color theme="1"/>
      <name val="Helvetica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Helvetica"/>
      <family val="2"/>
    </font>
    <font>
      <b/>
      <sz val="10"/>
      <color theme="1"/>
      <name val="Arial"/>
      <family val="2"/>
    </font>
    <font>
      <b/>
      <sz val="10"/>
      <color theme="1"/>
      <name val="Helvetica"/>
      <family val="2"/>
    </font>
    <font>
      <sz val="11"/>
      <color rgb="FFFFFFFF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>
        <color rgb="FF7F7F7F"/>
      </left>
      <right style="thin">
        <color rgb="FF7F7F7F"/>
      </right>
      <top style="medium"/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medium"/>
      <right/>
      <top style="thin"/>
      <bottom style="thin"/>
    </border>
    <border>
      <left style="thin">
        <color rgb="FF7F7F7F"/>
      </left>
      <right style="medium"/>
      <top style="medium"/>
      <bottom style="thin">
        <color rgb="FF7F7F7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>
        <color rgb="FF7F7F7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>
        <color rgb="FF7F7F7F"/>
      </left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7" fillId="30" borderId="1" xfId="52" applyAlignment="1">
      <alignment/>
    </xf>
    <xf numFmtId="164" fontId="0" fillId="0" borderId="10" xfId="0" applyNumberForma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42" fillId="0" borderId="15" xfId="0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3" xfId="0" applyBorder="1" applyAlignment="1">
      <alignment/>
    </xf>
    <xf numFmtId="165" fontId="0" fillId="0" borderId="18" xfId="57" applyNumberFormat="1" applyFont="1" applyBorder="1" applyAlignment="1">
      <alignment/>
    </xf>
    <xf numFmtId="165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64" fontId="0" fillId="0" borderId="18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0" fontId="44" fillId="30" borderId="1" xfId="52" applyFont="1" applyAlignment="1">
      <alignment/>
    </xf>
    <xf numFmtId="0" fontId="0" fillId="33" borderId="12" xfId="0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164" fontId="0" fillId="33" borderId="0" xfId="0" applyNumberFormat="1" applyFill="1" applyAlignment="1">
      <alignment horizontal="right"/>
    </xf>
    <xf numFmtId="164" fontId="0" fillId="33" borderId="10" xfId="0" applyNumberFormat="1" applyFill="1" applyBorder="1" applyAlignment="1">
      <alignment horizontal="right"/>
    </xf>
    <xf numFmtId="164" fontId="0" fillId="33" borderId="23" xfId="0" applyNumberFormat="1" applyFill="1" applyBorder="1" applyAlignment="1">
      <alignment horizontal="right"/>
    </xf>
    <xf numFmtId="165" fontId="0" fillId="33" borderId="24" xfId="0" applyNumberFormat="1" applyFill="1" applyBorder="1" applyAlignment="1">
      <alignment horizontal="right"/>
    </xf>
    <xf numFmtId="0" fontId="0" fillId="7" borderId="12" xfId="0" applyFill="1" applyBorder="1" applyAlignment="1">
      <alignment horizontal="center"/>
    </xf>
    <xf numFmtId="0" fontId="42" fillId="7" borderId="10" xfId="0" applyFont="1" applyFill="1" applyBorder="1" applyAlignment="1">
      <alignment horizontal="center"/>
    </xf>
    <xf numFmtId="164" fontId="0" fillId="7" borderId="0" xfId="0" applyNumberFormat="1" applyFill="1" applyAlignment="1">
      <alignment horizontal="right"/>
    </xf>
    <xf numFmtId="164" fontId="0" fillId="7" borderId="10" xfId="0" applyNumberFormat="1" applyFill="1" applyBorder="1" applyAlignment="1">
      <alignment horizontal="right"/>
    </xf>
    <xf numFmtId="164" fontId="0" fillId="7" borderId="23" xfId="0" applyNumberFormat="1" applyFill="1" applyBorder="1" applyAlignment="1">
      <alignment horizontal="right"/>
    </xf>
    <xf numFmtId="165" fontId="0" fillId="7" borderId="24" xfId="0" applyNumberFormat="1" applyFill="1" applyBorder="1" applyAlignment="1">
      <alignment horizontal="right"/>
    </xf>
    <xf numFmtId="0" fontId="37" fillId="30" borderId="25" xfId="52" applyBorder="1" applyAlignment="1" applyProtection="1">
      <alignment horizontal="center"/>
      <protection locked="0"/>
    </xf>
    <xf numFmtId="0" fontId="37" fillId="30" borderId="26" xfId="52" applyBorder="1" applyAlignment="1" applyProtection="1">
      <alignment horizontal="center"/>
      <protection locked="0"/>
    </xf>
    <xf numFmtId="0" fontId="37" fillId="30" borderId="1" xfId="52" applyAlignment="1" applyProtection="1">
      <alignment horizontal="center"/>
      <protection locked="0"/>
    </xf>
    <xf numFmtId="0" fontId="42" fillId="2" borderId="0" xfId="15" applyFont="1" applyAlignment="1" applyProtection="1">
      <alignment/>
      <protection locked="0"/>
    </xf>
    <xf numFmtId="0" fontId="42" fillId="7" borderId="0" xfId="20" applyFont="1" applyAlignment="1" applyProtection="1">
      <alignment/>
      <protection locked="0"/>
    </xf>
    <xf numFmtId="164" fontId="0" fillId="0" borderId="18" xfId="0" applyNumberFormat="1" applyBorder="1" applyAlignment="1">
      <alignment horizontal="center"/>
    </xf>
    <xf numFmtId="0" fontId="37" fillId="30" borderId="27" xfId="52" applyBorder="1" applyAlignment="1" applyProtection="1">
      <alignment horizontal="center"/>
      <protection locked="0"/>
    </xf>
    <xf numFmtId="0" fontId="0" fillId="0" borderId="28" xfId="0" applyBorder="1" applyAlignment="1">
      <alignment/>
    </xf>
    <xf numFmtId="0" fontId="0" fillId="0" borderId="23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5" fontId="0" fillId="0" borderId="21" xfId="57" applyNumberFormat="1" applyFont="1" applyBorder="1" applyAlignment="1">
      <alignment/>
    </xf>
    <xf numFmtId="0" fontId="37" fillId="30" borderId="29" xfId="52" applyBorder="1" applyAlignment="1" applyProtection="1">
      <alignment horizontal="center"/>
      <protection locked="0"/>
    </xf>
    <xf numFmtId="0" fontId="42" fillId="0" borderId="0" xfId="20" applyFont="1" applyFill="1" applyAlignment="1" applyProtection="1">
      <alignment/>
      <protection locked="0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5" borderId="31" xfId="0" applyFont="1" applyFill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5" borderId="33" xfId="0" applyFont="1" applyFill="1" applyBorder="1" applyAlignment="1">
      <alignment horizontal="center" vertical="center" wrapText="1"/>
    </xf>
    <xf numFmtId="0" fontId="49" fillId="0" borderId="34" xfId="0" applyFont="1" applyBorder="1" applyAlignment="1">
      <alignment horizontal="right" vertical="center" wrapText="1"/>
    </xf>
    <xf numFmtId="166" fontId="49" fillId="0" borderId="34" xfId="0" applyNumberFormat="1" applyFont="1" applyBorder="1" applyAlignment="1">
      <alignment horizontal="right" vertical="center" wrapText="1"/>
    </xf>
    <xf numFmtId="166" fontId="49" fillId="5" borderId="34" xfId="0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42" fillId="0" borderId="14" xfId="0" applyFont="1" applyBorder="1" applyAlignment="1">
      <alignment/>
    </xf>
    <xf numFmtId="0" fontId="0" fillId="0" borderId="35" xfId="0" applyBorder="1" applyAlignment="1">
      <alignment/>
    </xf>
    <xf numFmtId="164" fontId="0" fillId="7" borderId="18" xfId="20" applyNumberFormat="1" applyBorder="1" applyAlignment="1">
      <alignment horizontal="center"/>
    </xf>
    <xf numFmtId="164" fontId="0" fillId="7" borderId="19" xfId="20" applyNumberFormat="1" applyBorder="1" applyAlignment="1">
      <alignment horizontal="center"/>
    </xf>
    <xf numFmtId="0" fontId="42" fillId="6" borderId="10" xfId="19" applyFont="1" applyBorder="1" applyAlignment="1">
      <alignment horizontal="center"/>
    </xf>
    <xf numFmtId="0" fontId="42" fillId="0" borderId="28" xfId="0" applyFont="1" applyBorder="1" applyAlignment="1">
      <alignment/>
    </xf>
    <xf numFmtId="164" fontId="0" fillId="7" borderId="36" xfId="20" applyNumberFormat="1" applyBorder="1" applyAlignment="1">
      <alignment horizontal="center"/>
    </xf>
    <xf numFmtId="164" fontId="0" fillId="7" borderId="37" xfId="20" applyNumberFormat="1" applyBorder="1" applyAlignment="1">
      <alignment horizontal="center"/>
    </xf>
    <xf numFmtId="0" fontId="42" fillId="6" borderId="38" xfId="19" applyFont="1" applyBorder="1" applyAlignment="1" quotePrefix="1">
      <alignment horizontal="center"/>
    </xf>
    <xf numFmtId="10" fontId="0" fillId="6" borderId="36" xfId="19" applyNumberFormat="1" applyBorder="1" applyAlignment="1">
      <alignment horizontal="right"/>
    </xf>
    <xf numFmtId="10" fontId="0" fillId="6" borderId="38" xfId="19" applyNumberFormat="1" applyBorder="1" applyAlignment="1">
      <alignment horizontal="right"/>
    </xf>
    <xf numFmtId="10" fontId="0" fillId="6" borderId="37" xfId="19" applyNumberFormat="1" applyBorder="1" applyAlignment="1">
      <alignment horizontal="right"/>
    </xf>
    <xf numFmtId="0" fontId="42" fillId="2" borderId="38" xfId="15" applyFont="1" applyBorder="1" applyAlignment="1">
      <alignment horizontal="center"/>
    </xf>
    <xf numFmtId="0" fontId="42" fillId="2" borderId="39" xfId="15" applyFont="1" applyBorder="1" applyAlignment="1">
      <alignment horizontal="center"/>
    </xf>
    <xf numFmtId="164" fontId="0" fillId="2" borderId="37" xfId="15" applyNumberFormat="1" applyBorder="1" applyAlignment="1">
      <alignment horizontal="right"/>
    </xf>
    <xf numFmtId="0" fontId="0" fillId="0" borderId="11" xfId="0" applyBorder="1" applyAlignment="1">
      <alignment/>
    </xf>
    <xf numFmtId="0" fontId="42" fillId="0" borderId="14" xfId="0" applyFont="1" applyBorder="1" applyAlignment="1">
      <alignment horizontal="right"/>
    </xf>
    <xf numFmtId="0" fontId="42" fillId="0" borderId="40" xfId="0" applyFont="1" applyBorder="1" applyAlignment="1">
      <alignment/>
    </xf>
    <xf numFmtId="0" fontId="0" fillId="0" borderId="17" xfId="0" applyBorder="1" applyAlignment="1">
      <alignment horizontal="center"/>
    </xf>
    <xf numFmtId="2" fontId="37" fillId="30" borderId="41" xfId="52" applyNumberFormat="1" applyBorder="1" applyAlignment="1" applyProtection="1">
      <alignment horizontal="right"/>
      <protection locked="0"/>
    </xf>
    <xf numFmtId="164" fontId="0" fillId="2" borderId="36" xfId="15" applyNumberFormat="1" applyBorder="1" applyAlignment="1">
      <alignment horizontal="right"/>
    </xf>
    <xf numFmtId="2" fontId="0" fillId="2" borderId="42" xfId="15" applyNumberFormat="1" applyBorder="1" applyAlignment="1">
      <alignment horizontal="right"/>
    </xf>
    <xf numFmtId="20" fontId="0" fillId="0" borderId="0" xfId="0" applyNumberFormat="1" applyAlignment="1">
      <alignment/>
    </xf>
    <xf numFmtId="20" fontId="0" fillId="0" borderId="10" xfId="0" applyNumberFormat="1" applyBorder="1" applyAlignment="1">
      <alignment/>
    </xf>
    <xf numFmtId="20" fontId="0" fillId="0" borderId="23" xfId="0" applyNumberFormat="1" applyBorder="1" applyAlignment="1">
      <alignment/>
    </xf>
    <xf numFmtId="20" fontId="0" fillId="2" borderId="43" xfId="0" applyNumberFormat="1" applyFill="1" applyBorder="1" applyAlignment="1">
      <alignment/>
    </xf>
    <xf numFmtId="20" fontId="0" fillId="2" borderId="44" xfId="0" applyNumberFormat="1" applyFill="1" applyBorder="1" applyAlignment="1">
      <alignment/>
    </xf>
    <xf numFmtId="20" fontId="0" fillId="2" borderId="45" xfId="0" applyNumberFormat="1" applyFill="1" applyBorder="1" applyAlignment="1">
      <alignment/>
    </xf>
    <xf numFmtId="20" fontId="0" fillId="0" borderId="17" xfId="0" applyNumberFormat="1" applyBorder="1" applyAlignment="1">
      <alignment/>
    </xf>
    <xf numFmtId="20" fontId="0" fillId="2" borderId="46" xfId="0" applyNumberFormat="1" applyFill="1" applyBorder="1" applyAlignment="1">
      <alignment/>
    </xf>
    <xf numFmtId="0" fontId="42" fillId="0" borderId="20" xfId="0" applyFont="1" applyBorder="1" applyAlignment="1">
      <alignment/>
    </xf>
    <xf numFmtId="164" fontId="0" fillId="7" borderId="47" xfId="20" applyNumberFormat="1" applyBorder="1" applyAlignment="1">
      <alignment horizontal="center"/>
    </xf>
    <xf numFmtId="10" fontId="0" fillId="6" borderId="17" xfId="19" applyNumberFormat="1" applyBorder="1" applyAlignment="1">
      <alignment horizontal="right"/>
    </xf>
    <xf numFmtId="164" fontId="0" fillId="7" borderId="38" xfId="20" applyNumberFormat="1" applyBorder="1" applyAlignment="1">
      <alignment horizontal="center"/>
    </xf>
    <xf numFmtId="164" fontId="0" fillId="7" borderId="15" xfId="2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37" fillId="30" borderId="48" xfId="52" applyBorder="1" applyAlignment="1" applyProtection="1">
      <alignment/>
      <protection locked="0"/>
    </xf>
    <xf numFmtId="2" fontId="37" fillId="30" borderId="36" xfId="52" applyNumberFormat="1" applyBorder="1" applyAlignment="1" applyProtection="1">
      <alignment horizontal="right"/>
      <protection locked="0"/>
    </xf>
    <xf numFmtId="10" fontId="0" fillId="6" borderId="0" xfId="19" applyNumberFormat="1" applyBorder="1" applyAlignment="1">
      <alignment horizontal="right"/>
    </xf>
    <xf numFmtId="0" fontId="42" fillId="7" borderId="36" xfId="20" applyFont="1" applyBorder="1" applyAlignment="1">
      <alignment horizontal="center"/>
    </xf>
    <xf numFmtId="0" fontId="42" fillId="7" borderId="18" xfId="20" applyFont="1" applyBorder="1" applyAlignment="1">
      <alignment horizontal="center"/>
    </xf>
    <xf numFmtId="164" fontId="0" fillId="7" borderId="49" xfId="20" applyNumberFormat="1" applyBorder="1" applyAlignment="1">
      <alignment horizontal="center"/>
    </xf>
    <xf numFmtId="10" fontId="0" fillId="6" borderId="49" xfId="19" applyNumberFormat="1" applyBorder="1" applyAlignment="1">
      <alignment horizontal="right"/>
    </xf>
    <xf numFmtId="43" fontId="0" fillId="6" borderId="50" xfId="19" applyNumberFormat="1" applyBorder="1" applyAlignment="1">
      <alignment horizontal="right"/>
    </xf>
    <xf numFmtId="43" fontId="0" fillId="6" borderId="51" xfId="19" applyNumberFormat="1" applyBorder="1" applyAlignment="1">
      <alignment horizontal="right"/>
    </xf>
    <xf numFmtId="43" fontId="0" fillId="6" borderId="39" xfId="19" applyNumberFormat="1" applyBorder="1" applyAlignment="1">
      <alignment horizontal="right"/>
    </xf>
    <xf numFmtId="164" fontId="0" fillId="7" borderId="52" xfId="20" applyNumberFormat="1" applyBorder="1" applyAlignment="1">
      <alignment horizontal="center"/>
    </xf>
    <xf numFmtId="43" fontId="0" fillId="6" borderId="53" xfId="19" applyNumberFormat="1" applyBorder="1" applyAlignment="1">
      <alignment horizontal="right"/>
    </xf>
    <xf numFmtId="2" fontId="0" fillId="7" borderId="36" xfId="20" applyNumberFormat="1" applyBorder="1" applyAlignment="1">
      <alignment horizontal="center"/>
    </xf>
    <xf numFmtId="2" fontId="0" fillId="2" borderId="47" xfId="15" applyNumberFormat="1" applyBorder="1" applyAlignment="1">
      <alignment horizontal="right"/>
    </xf>
    <xf numFmtId="2" fontId="0" fillId="2" borderId="36" xfId="15" applyNumberFormat="1" applyBorder="1" applyAlignment="1">
      <alignment horizontal="right"/>
    </xf>
    <xf numFmtId="2" fontId="0" fillId="2" borderId="37" xfId="15" applyNumberFormat="1" applyBorder="1" applyAlignment="1">
      <alignment horizontal="right"/>
    </xf>
    <xf numFmtId="2" fontId="0" fillId="2" borderId="51" xfId="15" applyNumberFormat="1" applyBorder="1" applyAlignment="1">
      <alignment horizontal="right"/>
    </xf>
    <xf numFmtId="2" fontId="0" fillId="2" borderId="54" xfId="15" applyNumberFormat="1" applyBorder="1" applyAlignment="1">
      <alignment horizontal="right"/>
    </xf>
    <xf numFmtId="2" fontId="0" fillId="2" borderId="53" xfId="15" applyNumberFormat="1" applyBorder="1" applyAlignment="1">
      <alignment horizontal="right"/>
    </xf>
    <xf numFmtId="10" fontId="52" fillId="0" borderId="14" xfId="19" applyNumberFormat="1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53" fillId="0" borderId="55" xfId="0" applyFont="1" applyBorder="1" applyAlignment="1">
      <alignment horizontal="center"/>
    </xf>
    <xf numFmtId="0" fontId="53" fillId="0" borderId="56" xfId="0" applyFont="1" applyBorder="1" applyAlignment="1">
      <alignment horizontal="center"/>
    </xf>
    <xf numFmtId="0" fontId="37" fillId="30" borderId="49" xfId="52" applyBorder="1" applyAlignment="1" applyProtection="1">
      <alignment horizontal="center"/>
      <protection locked="0"/>
    </xf>
    <xf numFmtId="0" fontId="37" fillId="30" borderId="57" xfId="52" applyBorder="1" applyAlignment="1" applyProtection="1">
      <alignment horizontal="center"/>
      <protection locked="0"/>
    </xf>
    <xf numFmtId="0" fontId="42" fillId="2" borderId="58" xfId="0" applyFont="1" applyFill="1" applyBorder="1" applyAlignment="1">
      <alignment horizontal="center" wrapText="1"/>
    </xf>
    <xf numFmtId="0" fontId="42" fillId="2" borderId="44" xfId="0" applyFont="1" applyFill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44" fillId="30" borderId="60" xfId="52" applyFont="1" applyBorder="1" applyAlignment="1">
      <alignment horizontal="center"/>
    </xf>
    <xf numFmtId="0" fontId="44" fillId="30" borderId="0" xfId="52" applyFont="1" applyBorder="1" applyAlignment="1">
      <alignment horizontal="center"/>
    </xf>
    <xf numFmtId="0" fontId="54" fillId="2" borderId="36" xfId="15" applyFont="1" applyBorder="1" applyAlignment="1" applyProtection="1">
      <alignment horizontal="center"/>
      <protection locked="0"/>
    </xf>
    <xf numFmtId="0" fontId="54" fillId="2" borderId="51" xfId="15" applyFont="1" applyBorder="1" applyAlignment="1" applyProtection="1">
      <alignment horizontal="center"/>
      <protection locked="0"/>
    </xf>
    <xf numFmtId="0" fontId="54" fillId="6" borderId="36" xfId="19" applyFont="1" applyBorder="1" applyAlignment="1" applyProtection="1">
      <alignment horizontal="center"/>
      <protection locked="0"/>
    </xf>
    <xf numFmtId="0" fontId="54" fillId="6" borderId="0" xfId="19" applyFont="1" applyBorder="1" applyAlignment="1" applyProtection="1">
      <alignment horizontal="center"/>
      <protection locked="0"/>
    </xf>
    <xf numFmtId="0" fontId="54" fillId="7" borderId="36" xfId="20" applyFont="1" applyBorder="1" applyAlignment="1" applyProtection="1">
      <alignment horizontal="center"/>
      <protection locked="0"/>
    </xf>
    <xf numFmtId="0" fontId="54" fillId="7" borderId="18" xfId="20" applyFont="1" applyBorder="1" applyAlignment="1" applyProtection="1">
      <alignment horizontal="center"/>
      <protection locked="0"/>
    </xf>
    <xf numFmtId="0" fontId="37" fillId="30" borderId="38" xfId="52" applyBorder="1" applyAlignment="1" applyProtection="1">
      <alignment horizontal="center"/>
      <protection locked="0"/>
    </xf>
    <xf numFmtId="0" fontId="37" fillId="30" borderId="39" xfId="52" applyBorder="1" applyAlignment="1" applyProtection="1">
      <alignment horizontal="center"/>
      <protection locked="0"/>
    </xf>
    <xf numFmtId="0" fontId="42" fillId="0" borderId="61" xfId="0" applyFont="1" applyBorder="1" applyAlignment="1">
      <alignment horizontal="center"/>
    </xf>
    <xf numFmtId="0" fontId="42" fillId="0" borderId="6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37" fillId="30" borderId="15" xfId="52" applyBorder="1" applyAlignment="1" applyProtection="1">
      <alignment horizontal="center"/>
      <protection locked="0"/>
    </xf>
    <xf numFmtId="0" fontId="42" fillId="7" borderId="63" xfId="20" applyFont="1" applyBorder="1" applyAlignment="1">
      <alignment horizontal="center" vertical="center"/>
    </xf>
    <xf numFmtId="0" fontId="42" fillId="7" borderId="33" xfId="20" applyFont="1" applyBorder="1" applyAlignment="1">
      <alignment horizontal="center" vertical="center"/>
    </xf>
    <xf numFmtId="0" fontId="37" fillId="30" borderId="10" xfId="52" applyBorder="1" applyAlignment="1" applyProtection="1">
      <alignment horizontal="center"/>
      <protection locked="0"/>
    </xf>
    <xf numFmtId="0" fontId="53" fillId="0" borderId="6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zoomScale="175" zoomScaleNormal="175" zoomScalePageLayoutView="0" workbookViewId="0" topLeftCell="A1">
      <selection activeCell="C9" sqref="C9"/>
    </sheetView>
  </sheetViews>
  <sheetFormatPr defaultColWidth="9.140625" defaultRowHeight="15"/>
  <cols>
    <col min="1" max="1" width="5.421875" style="0" customWidth="1"/>
    <col min="2" max="2" width="12.57421875" style="0" bestFit="1" customWidth="1"/>
    <col min="4" max="4" width="9.7109375" style="0" bestFit="1" customWidth="1"/>
    <col min="9" max="9" width="10.28125" style="0" customWidth="1"/>
    <col min="10" max="14" width="9.140625" style="0" customWidth="1"/>
  </cols>
  <sheetData>
    <row r="1" spans="1:13" ht="15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L1" s="2" t="s">
        <v>1</v>
      </c>
      <c r="M1" s="2" t="s">
        <v>2</v>
      </c>
    </row>
    <row r="2" spans="12:13" ht="15.75" thickBot="1">
      <c r="L2" s="67">
        <v>1</v>
      </c>
      <c r="M2" s="68">
        <v>5</v>
      </c>
    </row>
    <row r="3" spans="1:13" ht="15">
      <c r="A3" s="49"/>
      <c r="B3" s="84"/>
      <c r="C3" s="151" t="s">
        <v>3</v>
      </c>
      <c r="D3" s="152"/>
      <c r="E3" s="153"/>
      <c r="F3" s="144" t="s">
        <v>4</v>
      </c>
      <c r="G3" s="145"/>
      <c r="H3" s="144" t="s">
        <v>5</v>
      </c>
      <c r="I3" s="146"/>
      <c r="L3" s="67">
        <v>2</v>
      </c>
      <c r="M3">
        <v>5.3333</v>
      </c>
    </row>
    <row r="4" spans="1:13" ht="15">
      <c r="A4" s="49"/>
      <c r="B4" s="85"/>
      <c r="C4" s="142">
        <v>17.5</v>
      </c>
      <c r="D4" s="150"/>
      <c r="E4" s="143"/>
      <c r="F4" s="142">
        <v>2</v>
      </c>
      <c r="G4" s="143"/>
      <c r="H4" s="142">
        <v>35</v>
      </c>
      <c r="I4" s="147"/>
      <c r="L4" s="67">
        <v>3</v>
      </c>
      <c r="M4">
        <v>6.6667</v>
      </c>
    </row>
    <row r="5" spans="1:13" ht="15">
      <c r="A5" s="6"/>
      <c r="B5" s="86"/>
      <c r="C5" s="136" t="s">
        <v>6</v>
      </c>
      <c r="D5" s="137"/>
      <c r="E5" s="148" t="s">
        <v>7</v>
      </c>
      <c r="F5" s="138" t="s">
        <v>8</v>
      </c>
      <c r="G5" s="139"/>
      <c r="H5" s="140" t="s">
        <v>9</v>
      </c>
      <c r="I5" s="141"/>
      <c r="L5" s="67" t="s">
        <v>10</v>
      </c>
      <c r="M5">
        <v>4.1667</v>
      </c>
    </row>
    <row r="6" spans="1:13" ht="15">
      <c r="A6" s="6"/>
      <c r="B6" s="70"/>
      <c r="C6" s="81" t="s">
        <v>11</v>
      </c>
      <c r="D6" s="82" t="s">
        <v>12</v>
      </c>
      <c r="E6" s="149"/>
      <c r="F6" s="77" t="s">
        <v>13</v>
      </c>
      <c r="G6" s="73" t="s">
        <v>14</v>
      </c>
      <c r="H6" s="108" t="s">
        <v>15</v>
      </c>
      <c r="I6" s="109" t="s">
        <v>16</v>
      </c>
      <c r="L6" s="67" t="s">
        <v>17</v>
      </c>
      <c r="M6">
        <v>4.6512</v>
      </c>
    </row>
    <row r="7" spans="1:13" ht="15">
      <c r="A7" s="6"/>
      <c r="B7" s="69" t="s">
        <v>18</v>
      </c>
      <c r="C7" s="88">
        <v>0</v>
      </c>
      <c r="D7" s="121">
        <f>C7*C4</f>
        <v>0</v>
      </c>
      <c r="E7" s="117">
        <f>(D7+(D7*2))/52.5</f>
        <v>0</v>
      </c>
      <c r="F7" s="111">
        <f>(((C7*6.6667)/17.5)*$C$4)/100</f>
        <v>0</v>
      </c>
      <c r="G7" s="112">
        <f>F7</f>
        <v>0</v>
      </c>
      <c r="H7" s="110">
        <f>H$4*D7/525</f>
        <v>0</v>
      </c>
      <c r="I7" s="115">
        <f>_xlfn.IFERROR(H7/F7,0)</f>
        <v>0</v>
      </c>
      <c r="L7" s="67" t="s">
        <v>19</v>
      </c>
      <c r="M7">
        <v>3.3333</v>
      </c>
    </row>
    <row r="8" spans="1:13" ht="15">
      <c r="A8" s="6"/>
      <c r="B8" s="69" t="s">
        <v>20</v>
      </c>
      <c r="C8" s="88">
        <v>1</v>
      </c>
      <c r="D8" s="121">
        <f>C8*C4</f>
        <v>17.5</v>
      </c>
      <c r="E8" s="117">
        <f>D8/52.5</f>
        <v>0.3333333333333333</v>
      </c>
      <c r="F8" s="78">
        <f>IF(F4=1,(C8*M2/100/17.5)*C4,IF(F4=2,(C8*M3/100/17.5)*C4,IF(F4=3,(C8*M4/100/17.5)*C4,IF(F4=L5,(C8*M5/100/17.5)*C4,IF(F4=L6,(C8*M6/100/17.5)*C4,IF(F4=L7,(C8*M7/100/17.5)*C4,IF(F4=L8,(C8*M8/100/17.5)*C4)))))))</f>
        <v>0.053333000000000005</v>
      </c>
      <c r="G8" s="113">
        <f>F8</f>
        <v>0.053333000000000005</v>
      </c>
      <c r="H8" s="75">
        <f>H$4*D8/525</f>
        <v>1.1666666666666667</v>
      </c>
      <c r="I8" s="71">
        <f>_xlfn.IFERROR(H8/F8,0)</f>
        <v>21.875136719604498</v>
      </c>
      <c r="L8" s="67" t="s">
        <v>21</v>
      </c>
      <c r="M8">
        <v>2.8571</v>
      </c>
    </row>
    <row r="9" spans="1:12" ht="15">
      <c r="A9" s="6"/>
      <c r="B9" s="69" t="s">
        <v>22</v>
      </c>
      <c r="C9" s="106">
        <v>2</v>
      </c>
      <c r="D9" s="121">
        <f>C9*C4</f>
        <v>35</v>
      </c>
      <c r="E9" s="117">
        <f>(D9+(D9/2))/52.5</f>
        <v>1</v>
      </c>
      <c r="F9" s="79">
        <f>IF(F4=1,(C9*M2/100/17.5)*C4,IF(F4=2,(C9*M3/100/17.5)*C4,IF(F4=3,(C9*M4/100/17.5)*C4,IF(F4=L5,(C9*M5/100/17.5)*C4,IF(F4=L6,(C9*M6/100/17.5)*C4,IF(F4=L7,(C9*M7/100/17.5)*C4,IF(F4=L8,(C9*M8/100/17.5)*C4)))))))</f>
        <v>0.10666600000000001</v>
      </c>
      <c r="G9" s="114">
        <f>F9</f>
        <v>0.10666600000000001</v>
      </c>
      <c r="H9" s="102">
        <f>(H$4*D9)/525</f>
        <v>2.3333333333333335</v>
      </c>
      <c r="I9" s="103">
        <f>_xlfn.IFERROR(H9/F9,0)</f>
        <v>21.875136719604498</v>
      </c>
      <c r="L9" s="67"/>
    </row>
    <row r="10" spans="1:9" ht="15.75" thickBot="1">
      <c r="A10" s="6"/>
      <c r="B10" s="99" t="s">
        <v>23</v>
      </c>
      <c r="C10" s="118">
        <f>C7+C8+C9</f>
        <v>3</v>
      </c>
      <c r="D10" s="122">
        <f>D7+D8+D9</f>
        <v>52.5</v>
      </c>
      <c r="E10" s="100"/>
      <c r="F10" s="80">
        <f>F8+F7+F9</f>
        <v>0.159999</v>
      </c>
      <c r="G10" s="116">
        <f>F10</f>
        <v>0.159999</v>
      </c>
      <c r="H10" s="76">
        <f>H7+H8+H9</f>
        <v>3.5</v>
      </c>
      <c r="I10" s="72">
        <f>_xlfn.IFERROR(H10/F10,0)</f>
        <v>21.875136719604498</v>
      </c>
    </row>
    <row r="11" spans="1:13" ht="15">
      <c r="A11" s="6"/>
      <c r="B11" s="10" t="s">
        <v>24</v>
      </c>
      <c r="C11" s="119">
        <f>(C7*2)+(C9/2)</f>
        <v>1</v>
      </c>
      <c r="D11" s="121">
        <f>C11*C4</f>
        <v>17.5</v>
      </c>
      <c r="E11" s="75"/>
      <c r="F11" s="78"/>
      <c r="G11" s="107"/>
      <c r="H11" s="75"/>
      <c r="I11" s="71"/>
      <c r="L11" s="125" t="s">
        <v>25</v>
      </c>
      <c r="M11" s="125"/>
    </row>
    <row r="12" spans="2:14" ht="15.75" thickBot="1">
      <c r="B12" s="13" t="s">
        <v>26</v>
      </c>
      <c r="C12" s="120">
        <f>C11+C8+C7</f>
        <v>2</v>
      </c>
      <c r="D12" s="123">
        <f>D11+D8+D7+D9</f>
        <v>70</v>
      </c>
      <c r="E12" s="76">
        <f>FLOOR(D12/52.5,0.5)</f>
        <v>1</v>
      </c>
      <c r="F12" s="80"/>
      <c r="G12" s="101"/>
      <c r="H12" s="76"/>
      <c r="I12" s="72"/>
      <c r="L12" s="1">
        <v>5</v>
      </c>
      <c r="M12" s="104">
        <f>L12/60</f>
        <v>0.08333333333333333</v>
      </c>
      <c r="N12" s="68"/>
    </row>
    <row r="13" spans="12:14" ht="15.75" thickBot="1">
      <c r="L13" s="1">
        <v>10</v>
      </c>
      <c r="M13" s="104">
        <f aca="true" t="shared" si="0" ref="M13:M22">L13/60</f>
        <v>0.16666666666666666</v>
      </c>
      <c r="N13" s="68"/>
    </row>
    <row r="14" spans="2:14" ht="15">
      <c r="B14" s="126" t="s">
        <v>27</v>
      </c>
      <c r="C14" s="127"/>
      <c r="D14" s="127"/>
      <c r="E14" s="130" t="s">
        <v>28</v>
      </c>
      <c r="L14" s="1">
        <v>15</v>
      </c>
      <c r="M14" s="104">
        <f t="shared" si="0"/>
        <v>0.25</v>
      </c>
      <c r="N14" s="68"/>
    </row>
    <row r="15" spans="2:14" ht="15">
      <c r="B15" s="132" t="s">
        <v>29</v>
      </c>
      <c r="C15" s="128">
        <v>6</v>
      </c>
      <c r="D15" s="129"/>
      <c r="E15" s="131"/>
      <c r="L15" s="1">
        <v>20</v>
      </c>
      <c r="M15" s="104">
        <f t="shared" si="0"/>
        <v>0.3333333333333333</v>
      </c>
      <c r="N15" s="68"/>
    </row>
    <row r="16" spans="2:14" ht="15">
      <c r="B16" s="133"/>
      <c r="C16" s="81" t="s">
        <v>11</v>
      </c>
      <c r="D16" s="5" t="s">
        <v>30</v>
      </c>
      <c r="E16" s="105">
        <v>1</v>
      </c>
      <c r="F16" s="10"/>
      <c r="L16" s="1">
        <v>25</v>
      </c>
      <c r="M16" s="104">
        <f t="shared" si="0"/>
        <v>0.4166666666666667</v>
      </c>
      <c r="N16" s="68"/>
    </row>
    <row r="17" spans="2:14" ht="15">
      <c r="B17" s="69" t="s">
        <v>18</v>
      </c>
      <c r="C17" s="89">
        <f>D7/C15</f>
        <v>0</v>
      </c>
      <c r="D17" s="91">
        <f>(CONVERT(C17,"hr","mn"))/(24*60)</f>
        <v>0</v>
      </c>
      <c r="E17" s="94">
        <f>MROUND(D17/E16,"0:05")</f>
        <v>0</v>
      </c>
      <c r="F17" s="124">
        <f>(((C17*6.6667)/17.5)*$C$15)/100</f>
        <v>0</v>
      </c>
      <c r="L17" s="1">
        <v>30</v>
      </c>
      <c r="M17" s="104">
        <f t="shared" si="0"/>
        <v>0.5</v>
      </c>
      <c r="N17" s="68"/>
    </row>
    <row r="18" spans="2:14" ht="15">
      <c r="B18" s="69" t="s">
        <v>20</v>
      </c>
      <c r="C18" s="89">
        <f>D8/C15</f>
        <v>2.9166666666666665</v>
      </c>
      <c r="D18" s="92">
        <f>CONVERT(C18,"hr","mn")/(24*60)</f>
        <v>0.12152777777777778</v>
      </c>
      <c r="E18" s="95">
        <f>MROUND(D18/E16,"0:05")</f>
        <v>0.12152777777777778</v>
      </c>
      <c r="F18" s="124">
        <f>IF(F4=1,(C18*M2/100/17.5)*C15,IF(F4=2,(C18*M3/100/17.5)*C15,IF(F4=3,(C18*M4/100/17.5)*C15,IF(F4=L5,(C18*M5/100/17.5)*C15,IF(F4=L6,(C18*M6/100/17.5)*C15,IF(F4=L7,(C18*M7/100/17.5)*C15,IF(F4=L8,(C18*M8/100/17.5)*C15)))))))</f>
        <v>0.053333000000000005</v>
      </c>
      <c r="L18" s="1">
        <v>35</v>
      </c>
      <c r="M18" s="104">
        <f t="shared" si="0"/>
        <v>0.5833333333333334</v>
      </c>
      <c r="N18" s="68"/>
    </row>
    <row r="19" spans="2:14" ht="15">
      <c r="B19" s="74" t="s">
        <v>23</v>
      </c>
      <c r="C19" s="90">
        <f>C17+C18</f>
        <v>2.9166666666666665</v>
      </c>
      <c r="D19" s="93">
        <f>CONVERT(C19,"hr","mn")/(24*60)</f>
        <v>0.12152777777777778</v>
      </c>
      <c r="E19" s="96">
        <f>E17+E18</f>
        <v>0.12152777777777778</v>
      </c>
      <c r="F19" s="124">
        <f>F18+F17</f>
        <v>0.053333000000000005</v>
      </c>
      <c r="L19" s="1">
        <v>40</v>
      </c>
      <c r="M19" s="104">
        <f t="shared" si="0"/>
        <v>0.6666666666666666</v>
      </c>
      <c r="N19" s="68"/>
    </row>
    <row r="20" spans="2:14" ht="15">
      <c r="B20" s="10" t="s">
        <v>31</v>
      </c>
      <c r="C20" s="89">
        <f>C17*2</f>
        <v>0</v>
      </c>
      <c r="D20" s="91">
        <f>CONVERT(C20,"hr","mn")/(24*60)</f>
        <v>0</v>
      </c>
      <c r="E20" s="94">
        <f>D20/E16</f>
        <v>0</v>
      </c>
      <c r="F20" s="10"/>
      <c r="L20" s="1">
        <v>45</v>
      </c>
      <c r="M20" s="104">
        <f t="shared" si="0"/>
        <v>0.75</v>
      </c>
      <c r="N20" s="68"/>
    </row>
    <row r="21" spans="2:14" ht="15.75" thickBot="1">
      <c r="B21" s="13" t="s">
        <v>26</v>
      </c>
      <c r="C21" s="83">
        <f>C20+C18+C17</f>
        <v>2.9166666666666665</v>
      </c>
      <c r="D21" s="97">
        <f>CONVERT(C21,"hr","mn")/(24*60)</f>
        <v>0.12152777777777778</v>
      </c>
      <c r="E21" s="98">
        <f>E17+E20+E18</f>
        <v>0.12152777777777778</v>
      </c>
      <c r="L21" s="1">
        <v>50</v>
      </c>
      <c r="M21" s="104">
        <f t="shared" si="0"/>
        <v>0.8333333333333334</v>
      </c>
      <c r="N21" s="68"/>
    </row>
    <row r="22" spans="12:14" ht="15">
      <c r="L22" s="1">
        <v>55</v>
      </c>
      <c r="M22" s="104">
        <f t="shared" si="0"/>
        <v>0.9166666666666666</v>
      </c>
      <c r="N22" s="68"/>
    </row>
  </sheetData>
  <sheetProtection/>
  <mergeCells count="16">
    <mergeCell ref="A1:J1"/>
    <mergeCell ref="C5:D5"/>
    <mergeCell ref="F5:G5"/>
    <mergeCell ref="H5:I5"/>
    <mergeCell ref="F4:G4"/>
    <mergeCell ref="F3:G3"/>
    <mergeCell ref="H3:I3"/>
    <mergeCell ref="H4:I4"/>
    <mergeCell ref="E5:E6"/>
    <mergeCell ref="C4:E4"/>
    <mergeCell ref="C3:E3"/>
    <mergeCell ref="L11:M11"/>
    <mergeCell ref="B14:D14"/>
    <mergeCell ref="C15:D15"/>
    <mergeCell ref="E14:E15"/>
    <mergeCell ref="B15:B16"/>
  </mergeCells>
  <conditionalFormatting sqref="C15">
    <cfRule type="cellIs" priority="1" dxfId="2" operator="greaterThan">
      <formula>$C$4</formula>
    </cfRule>
  </conditionalFormatting>
  <dataValidations count="1">
    <dataValidation type="list" showInputMessage="1" showErrorMessage="1" sqref="F4">
      <formula1>$L$2:$L$8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="145" zoomScaleNormal="145" zoomScalePageLayoutView="0" workbookViewId="0" topLeftCell="F8">
      <selection activeCell="F8" sqref="F8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8" max="8" width="16.421875" style="0" customWidth="1"/>
    <col min="9" max="17" width="9.140625" style="0" customWidth="1"/>
  </cols>
  <sheetData>
    <row r="1" spans="1:16" ht="15">
      <c r="A1" s="24" t="s">
        <v>0</v>
      </c>
      <c r="B1" s="3"/>
      <c r="C1" s="3"/>
      <c r="D1" s="3"/>
      <c r="E1" s="3"/>
      <c r="F1" s="3"/>
      <c r="O1">
        <v>1</v>
      </c>
      <c r="P1">
        <v>5</v>
      </c>
    </row>
    <row r="2" spans="15:16" ht="15.75" thickBot="1">
      <c r="O2">
        <v>2</v>
      </c>
      <c r="P2">
        <v>5.3333</v>
      </c>
    </row>
    <row r="3" spans="1:16" ht="15">
      <c r="A3" s="41" t="s">
        <v>32</v>
      </c>
      <c r="B3" s="7" t="s">
        <v>33</v>
      </c>
      <c r="C3" s="37">
        <v>12</v>
      </c>
      <c r="D3" s="8"/>
      <c r="E3" s="8" t="s">
        <v>4</v>
      </c>
      <c r="F3" s="48">
        <v>1</v>
      </c>
      <c r="H3" s="1"/>
      <c r="O3">
        <v>3</v>
      </c>
      <c r="P3">
        <v>6.6667</v>
      </c>
    </row>
    <row r="4" spans="1:6" ht="15">
      <c r="A4" s="6"/>
      <c r="B4" s="10"/>
      <c r="C4" s="5" t="s">
        <v>34</v>
      </c>
      <c r="D4" s="5" t="s">
        <v>26</v>
      </c>
      <c r="E4" s="5" t="s">
        <v>7</v>
      </c>
      <c r="F4" s="11" t="s">
        <v>14</v>
      </c>
    </row>
    <row r="5" spans="1:6" ht="15">
      <c r="A5" s="6"/>
      <c r="B5" s="10" t="s">
        <v>35</v>
      </c>
      <c r="C5" s="38">
        <v>3</v>
      </c>
      <c r="D5" s="1">
        <f>C5*C3</f>
        <v>36</v>
      </c>
      <c r="E5" s="15">
        <f>(D6+D5)/52.5</f>
        <v>2.057142857142857</v>
      </c>
      <c r="F5" s="17">
        <f>(((C5*6.6667)/17.5)*$C$3)/100</f>
        <v>0.13714354285714286</v>
      </c>
    </row>
    <row r="6" spans="1:6" ht="15">
      <c r="A6" s="6"/>
      <c r="B6" s="10" t="s">
        <v>36</v>
      </c>
      <c r="C6" s="1">
        <f>C5*2</f>
        <v>6</v>
      </c>
      <c r="D6" s="1">
        <f>C6*C3</f>
        <v>72</v>
      </c>
      <c r="E6" s="15"/>
      <c r="F6" s="42"/>
    </row>
    <row r="7" spans="1:6" ht="15">
      <c r="A7" s="6"/>
      <c r="B7" s="10" t="s">
        <v>37</v>
      </c>
      <c r="C7" s="43">
        <v>18</v>
      </c>
      <c r="D7" s="1">
        <f>C7*C3</f>
        <v>216</v>
      </c>
      <c r="E7" s="15">
        <f>D7/52.5</f>
        <v>4.114285714285714</v>
      </c>
      <c r="F7" s="17">
        <f>IF(F3=1,(C7*P1/100/17.5)*C3,IF(F3=2,(C7*P2/100/17.5)*C3,IF(F3=3,(C7*P3/100/17.5)*C3,0)))</f>
        <v>0.6171428571428571</v>
      </c>
    </row>
    <row r="8" spans="1:6" ht="15">
      <c r="A8" s="6"/>
      <c r="B8" s="44" t="s">
        <v>23</v>
      </c>
      <c r="C8" s="45">
        <f>C5+C7</f>
        <v>21</v>
      </c>
      <c r="D8" s="45">
        <f>D5+D7</f>
        <v>252</v>
      </c>
      <c r="E8" s="46"/>
      <c r="F8" s="47"/>
    </row>
    <row r="9" spans="1:11" ht="15.75" thickBot="1">
      <c r="A9" s="6"/>
      <c r="B9" s="13" t="s">
        <v>26</v>
      </c>
      <c r="C9" s="87">
        <f>C6+C7+C5</f>
        <v>27</v>
      </c>
      <c r="D9" s="87">
        <f>D6+D7+D5</f>
        <v>324</v>
      </c>
      <c r="E9" s="14">
        <f>D9/52.5</f>
        <v>6.171428571428572</v>
      </c>
      <c r="F9" s="18">
        <f>F7+F5</f>
        <v>0.7542864</v>
      </c>
      <c r="H9" s="154" t="s">
        <v>38</v>
      </c>
      <c r="I9" s="154"/>
      <c r="J9" s="154"/>
      <c r="K9" s="154"/>
    </row>
    <row r="10" spans="1:11" ht="15.75" thickBot="1">
      <c r="A10" s="40" t="s">
        <v>39</v>
      </c>
      <c r="H10" s="7" t="s">
        <v>33</v>
      </c>
      <c r="I10" s="25" t="s">
        <v>40</v>
      </c>
      <c r="J10" s="31" t="s">
        <v>32</v>
      </c>
      <c r="K10" s="16"/>
    </row>
    <row r="11" spans="1:11" ht="15">
      <c r="A11" s="6"/>
      <c r="B11" s="7" t="s">
        <v>33</v>
      </c>
      <c r="C11" s="37">
        <v>6</v>
      </c>
      <c r="D11" s="8"/>
      <c r="E11" s="8"/>
      <c r="F11" s="9"/>
      <c r="H11" s="10"/>
      <c r="I11" s="26" t="s">
        <v>26</v>
      </c>
      <c r="J11" s="32" t="s">
        <v>26</v>
      </c>
      <c r="K11" s="11" t="s">
        <v>41</v>
      </c>
    </row>
    <row r="12" spans="1:11" ht="15">
      <c r="A12" s="6"/>
      <c r="B12" s="10"/>
      <c r="C12" s="5" t="s">
        <v>34</v>
      </c>
      <c r="D12" s="5" t="s">
        <v>26</v>
      </c>
      <c r="E12" s="5" t="s">
        <v>7</v>
      </c>
      <c r="F12" s="11" t="s">
        <v>14</v>
      </c>
      <c r="H12" s="10" t="s">
        <v>35</v>
      </c>
      <c r="I12" s="27">
        <f>D13+D20+D27+D34</f>
        <v>36</v>
      </c>
      <c r="J12" s="33">
        <f>D5</f>
        <v>36</v>
      </c>
      <c r="K12" s="20">
        <f aca="true" t="shared" si="0" ref="K12:K17">J12-I12</f>
        <v>0</v>
      </c>
    </row>
    <row r="13" spans="1:11" ht="15">
      <c r="A13" s="6"/>
      <c r="B13" s="10" t="s">
        <v>35</v>
      </c>
      <c r="C13" s="39">
        <v>2.5</v>
      </c>
      <c r="D13" s="1">
        <f>C13*C11</f>
        <v>15</v>
      </c>
      <c r="E13" s="15">
        <f>(D15+D13)/52.5</f>
        <v>0.8571428571428571</v>
      </c>
      <c r="F13" s="17">
        <f>(((C13*6.6667)/17.5)*$C$11)/100</f>
        <v>0.05714314285714286</v>
      </c>
      <c r="H13" s="10" t="s">
        <v>37</v>
      </c>
      <c r="I13" s="27">
        <f>D14+D21+D28+D35</f>
        <v>216</v>
      </c>
      <c r="J13" s="33">
        <f>D7</f>
        <v>216</v>
      </c>
      <c r="K13" s="20">
        <f t="shared" si="0"/>
        <v>0</v>
      </c>
    </row>
    <row r="14" spans="1:11" ht="15">
      <c r="A14" s="6"/>
      <c r="B14" s="10" t="s">
        <v>37</v>
      </c>
      <c r="C14" s="39">
        <v>11</v>
      </c>
      <c r="D14" s="1">
        <f>C14*C11</f>
        <v>66</v>
      </c>
      <c r="E14" s="15">
        <f>D14/52.5</f>
        <v>1.2571428571428571</v>
      </c>
      <c r="F14" s="17">
        <f>(C14*5/100/17.5)*C11</f>
        <v>0.18857142857142858</v>
      </c>
      <c r="H14" s="10" t="s">
        <v>42</v>
      </c>
      <c r="I14" s="28">
        <f>D15+D22+D29+D36</f>
        <v>72</v>
      </c>
      <c r="J14" s="34">
        <f>D6</f>
        <v>72</v>
      </c>
      <c r="K14" s="21">
        <f t="shared" si="0"/>
        <v>0</v>
      </c>
    </row>
    <row r="15" spans="1:11" ht="15">
      <c r="A15" s="6"/>
      <c r="B15" s="10" t="s">
        <v>42</v>
      </c>
      <c r="C15" s="2">
        <f>C13*2</f>
        <v>5</v>
      </c>
      <c r="D15" s="2">
        <f>C15*C11</f>
        <v>30</v>
      </c>
      <c r="E15" s="4"/>
      <c r="F15" s="12"/>
      <c r="H15" s="10" t="s">
        <v>43</v>
      </c>
      <c r="I15" s="29">
        <f>D16+D23+D30+D37</f>
        <v>324</v>
      </c>
      <c r="J15" s="35">
        <f>D9</f>
        <v>324</v>
      </c>
      <c r="K15" s="22">
        <f t="shared" si="0"/>
        <v>0</v>
      </c>
    </row>
    <row r="16" spans="1:11" ht="15.75" thickBot="1">
      <c r="A16" s="6"/>
      <c r="B16" s="13" t="s">
        <v>26</v>
      </c>
      <c r="C16" s="87">
        <f>C15+C14+C13</f>
        <v>18.5</v>
      </c>
      <c r="D16" s="87">
        <f>D15+D14+D13</f>
        <v>111</v>
      </c>
      <c r="E16" s="14">
        <f>D16/52.5</f>
        <v>2.1142857142857143</v>
      </c>
      <c r="F16" s="18">
        <f>F14+F13</f>
        <v>0.24571457142857145</v>
      </c>
      <c r="H16" s="10" t="s">
        <v>7</v>
      </c>
      <c r="I16" s="27">
        <f>E9</f>
        <v>6.171428571428572</v>
      </c>
      <c r="J16" s="33">
        <f>E16+E23+E30+E37</f>
        <v>6.171428571428572</v>
      </c>
      <c r="K16" s="20">
        <f t="shared" si="0"/>
        <v>0</v>
      </c>
    </row>
    <row r="17" spans="1:11" ht="15.75" thickBot="1">
      <c r="A17" s="40" t="s">
        <v>44</v>
      </c>
      <c r="H17" s="19" t="s">
        <v>14</v>
      </c>
      <c r="I17" s="30">
        <f>F16+F23+F30+F37</f>
        <v>0.7542864</v>
      </c>
      <c r="J17" s="36">
        <f>F9</f>
        <v>0.7542864</v>
      </c>
      <c r="K17" s="23">
        <f t="shared" si="0"/>
        <v>0</v>
      </c>
    </row>
    <row r="18" spans="1:8" ht="15">
      <c r="A18" s="6"/>
      <c r="B18" s="7" t="s">
        <v>33</v>
      </c>
      <c r="C18" s="37">
        <v>6</v>
      </c>
      <c r="D18" s="8"/>
      <c r="E18" s="8"/>
      <c r="F18" s="9"/>
      <c r="H18" t="s">
        <v>45</v>
      </c>
    </row>
    <row r="19" spans="1:6" ht="15">
      <c r="A19" s="6"/>
      <c r="B19" s="10"/>
      <c r="C19" s="5" t="s">
        <v>34</v>
      </c>
      <c r="D19" s="5" t="s">
        <v>26</v>
      </c>
      <c r="E19" s="5" t="s">
        <v>7</v>
      </c>
      <c r="F19" s="11" t="s">
        <v>14</v>
      </c>
    </row>
    <row r="20" spans="1:6" ht="15">
      <c r="A20" s="6"/>
      <c r="B20" s="10" t="s">
        <v>35</v>
      </c>
      <c r="C20" s="39">
        <v>0.5</v>
      </c>
      <c r="D20" s="1">
        <f>C20*C18</f>
        <v>3</v>
      </c>
      <c r="E20" s="15">
        <f>(D22+D20)/52.5</f>
        <v>0.17142857142857143</v>
      </c>
      <c r="F20" s="17">
        <f>(((C20*6.6667)/17.5)*$C18)/100</f>
        <v>0.011428628571428573</v>
      </c>
    </row>
    <row r="21" spans="1:6" ht="15">
      <c r="A21" s="6"/>
      <c r="B21" s="10" t="s">
        <v>37</v>
      </c>
      <c r="C21" s="39">
        <v>2.5</v>
      </c>
      <c r="D21" s="1">
        <f>C21*C18</f>
        <v>15</v>
      </c>
      <c r="E21" s="15">
        <f>D21/52.5</f>
        <v>0.2857142857142857</v>
      </c>
      <c r="F21" s="17">
        <f>(C21*5/100/17.5)*C18</f>
        <v>0.04285714285714286</v>
      </c>
    </row>
    <row r="22" spans="1:6" ht="15">
      <c r="A22" s="6"/>
      <c r="B22" s="10" t="s">
        <v>42</v>
      </c>
      <c r="C22" s="2">
        <f>C20*2</f>
        <v>1</v>
      </c>
      <c r="D22" s="2">
        <f>C22*C18</f>
        <v>6</v>
      </c>
      <c r="E22" s="4"/>
      <c r="F22" s="12"/>
    </row>
    <row r="23" spans="1:6" ht="15.75" thickBot="1">
      <c r="A23" s="6"/>
      <c r="B23" s="13" t="s">
        <v>26</v>
      </c>
      <c r="C23" s="87">
        <f>C22+C21+C20</f>
        <v>4</v>
      </c>
      <c r="D23" s="87">
        <f>D22+D21+D20</f>
        <v>24</v>
      </c>
      <c r="E23" s="14">
        <f>D23/52.5</f>
        <v>0.45714285714285713</v>
      </c>
      <c r="F23" s="18">
        <f>F21+F20</f>
        <v>0.05428577142857143</v>
      </c>
    </row>
    <row r="24" ht="15.75" thickBot="1">
      <c r="A24" s="40" t="s">
        <v>46</v>
      </c>
    </row>
    <row r="25" spans="1:6" ht="15">
      <c r="A25" s="6"/>
      <c r="B25" s="7" t="s">
        <v>33</v>
      </c>
      <c r="C25" s="37">
        <v>6</v>
      </c>
      <c r="D25" s="8"/>
      <c r="E25" s="8"/>
      <c r="F25" s="9"/>
    </row>
    <row r="26" spans="1:6" ht="15">
      <c r="A26" s="6"/>
      <c r="B26" s="10"/>
      <c r="C26" s="5" t="s">
        <v>34</v>
      </c>
      <c r="D26" s="5" t="s">
        <v>26</v>
      </c>
      <c r="E26" s="5" t="s">
        <v>7</v>
      </c>
      <c r="F26" s="11" t="s">
        <v>14</v>
      </c>
    </row>
    <row r="27" spans="1:6" ht="15">
      <c r="A27" s="6"/>
      <c r="B27" s="10" t="s">
        <v>35</v>
      </c>
      <c r="C27" s="39">
        <v>0.5</v>
      </c>
      <c r="D27" s="1">
        <f>C27*C25</f>
        <v>3</v>
      </c>
      <c r="E27" s="15">
        <f>(D29+D27)/52.5</f>
        <v>0.17142857142857143</v>
      </c>
      <c r="F27" s="17">
        <f>(((C27*6.6667)/17.5)*$C25)/100</f>
        <v>0.011428628571428573</v>
      </c>
    </row>
    <row r="28" spans="1:6" ht="15">
      <c r="A28" s="6"/>
      <c r="B28" s="10" t="s">
        <v>37</v>
      </c>
      <c r="C28" s="39">
        <v>2.5</v>
      </c>
      <c r="D28" s="1">
        <f>C28*C25</f>
        <v>15</v>
      </c>
      <c r="E28" s="15">
        <f>D28/52.5</f>
        <v>0.2857142857142857</v>
      </c>
      <c r="F28" s="17">
        <f>(C28*5/100/17.5)*C25</f>
        <v>0.04285714285714286</v>
      </c>
    </row>
    <row r="29" spans="1:6" ht="15">
      <c r="A29" s="6"/>
      <c r="B29" s="10" t="s">
        <v>42</v>
      </c>
      <c r="C29" s="2">
        <f>C27*2</f>
        <v>1</v>
      </c>
      <c r="D29" s="2">
        <f>C29*C25</f>
        <v>6</v>
      </c>
      <c r="E29" s="4"/>
      <c r="F29" s="12"/>
    </row>
    <row r="30" spans="1:6" ht="15.75" thickBot="1">
      <c r="A30" s="6"/>
      <c r="B30" s="13" t="s">
        <v>26</v>
      </c>
      <c r="C30" s="87">
        <f>C29+C28+C27</f>
        <v>4</v>
      </c>
      <c r="D30" s="87">
        <f>D29+D28+D27</f>
        <v>24</v>
      </c>
      <c r="E30" s="14">
        <f>D30/52.5</f>
        <v>0.45714285714285713</v>
      </c>
      <c r="F30" s="18">
        <f>F28+F27</f>
        <v>0.05428577142857143</v>
      </c>
    </row>
    <row r="31" ht="15.75" thickBot="1">
      <c r="A31" s="40" t="s">
        <v>47</v>
      </c>
    </row>
    <row r="32" spans="1:6" ht="15">
      <c r="A32" s="6"/>
      <c r="B32" s="7" t="s">
        <v>33</v>
      </c>
      <c r="C32" s="37">
        <v>6</v>
      </c>
      <c r="D32" s="8"/>
      <c r="E32" s="8"/>
      <c r="F32" s="9"/>
    </row>
    <row r="33" spans="1:6" ht="15">
      <c r="A33" s="6"/>
      <c r="B33" s="10"/>
      <c r="C33" s="5" t="s">
        <v>34</v>
      </c>
      <c r="D33" s="5" t="s">
        <v>26</v>
      </c>
      <c r="E33" s="5" t="s">
        <v>7</v>
      </c>
      <c r="F33" s="11" t="s">
        <v>14</v>
      </c>
    </row>
    <row r="34" spans="1:6" ht="15">
      <c r="A34" s="6"/>
      <c r="B34" s="10" t="s">
        <v>35</v>
      </c>
      <c r="C34" s="39">
        <v>2.5</v>
      </c>
      <c r="D34" s="1">
        <f>C34*C32</f>
        <v>15</v>
      </c>
      <c r="E34" s="15">
        <f>(D36+D34)/52.5</f>
        <v>0.8571428571428571</v>
      </c>
      <c r="F34" s="17">
        <f>(((C34*6.6667)/17.5)*$C32)/100</f>
        <v>0.05714314285714286</v>
      </c>
    </row>
    <row r="35" spans="1:6" ht="15">
      <c r="A35" s="6"/>
      <c r="B35" s="10" t="s">
        <v>37</v>
      </c>
      <c r="C35" s="39">
        <v>20</v>
      </c>
      <c r="D35" s="1">
        <f>C35*C32</f>
        <v>120</v>
      </c>
      <c r="E35" s="15">
        <f>D35/52.5</f>
        <v>2.2857142857142856</v>
      </c>
      <c r="F35" s="17">
        <f>(C35*5/100/17.5)*C32</f>
        <v>0.34285714285714286</v>
      </c>
    </row>
    <row r="36" spans="1:6" ht="15">
      <c r="A36" s="6"/>
      <c r="B36" s="10" t="s">
        <v>42</v>
      </c>
      <c r="C36" s="2">
        <f>C34*2</f>
        <v>5</v>
      </c>
      <c r="D36" s="2">
        <f>C36*C32</f>
        <v>30</v>
      </c>
      <c r="E36" s="4"/>
      <c r="F36" s="12"/>
    </row>
    <row r="37" spans="2:6" ht="15.75" thickBot="1">
      <c r="B37" s="13" t="s">
        <v>26</v>
      </c>
      <c r="C37" s="87">
        <f>C36+C35+C34</f>
        <v>27.5</v>
      </c>
      <c r="D37" s="87">
        <f>D36+D35+D34</f>
        <v>165</v>
      </c>
      <c r="E37" s="14">
        <f>D37/52.5</f>
        <v>3.142857142857143</v>
      </c>
      <c r="F37" s="18">
        <f>F35+F34</f>
        <v>0.4000002857142857</v>
      </c>
    </row>
  </sheetData>
  <sheetProtection/>
  <mergeCells count="1">
    <mergeCell ref="H9:K9"/>
  </mergeCells>
  <conditionalFormatting sqref="K12:K17">
    <cfRule type="cellIs" priority="1" dxfId="3" operator="notEqual">
      <formula>0</formula>
    </cfRule>
  </conditionalFormatting>
  <dataValidations count="1">
    <dataValidation type="list" showInputMessage="1" showErrorMessage="1" sqref="F3">
      <formula1>$O$1:$O$3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8.140625" style="0" customWidth="1"/>
    <col min="2" max="2" width="12.00390625" style="0" customWidth="1"/>
    <col min="3" max="5" width="12.28125" style="0" customWidth="1"/>
    <col min="6" max="6" width="11.7109375" style="0" customWidth="1"/>
    <col min="7" max="7" width="12.28125" style="0" customWidth="1"/>
    <col min="8" max="8" width="10.8515625" style="0" customWidth="1"/>
    <col min="9" max="9" width="11.7109375" style="0" customWidth="1"/>
  </cols>
  <sheetData>
    <row r="1" ht="18">
      <c r="E1" s="50" t="s">
        <v>48</v>
      </c>
    </row>
    <row r="2" spans="1:5" ht="15.75">
      <c r="A2" s="51"/>
      <c r="D2" s="52"/>
      <c r="E2" s="53" t="s">
        <v>49</v>
      </c>
    </row>
    <row r="3" spans="1:5" ht="15.75">
      <c r="A3" s="51"/>
      <c r="D3" s="52"/>
      <c r="E3" s="53"/>
    </row>
    <row r="4" spans="1:6" ht="15.75" thickBot="1">
      <c r="A4" s="54" t="s">
        <v>50</v>
      </c>
      <c r="F4" s="55"/>
    </row>
    <row r="5" spans="1:9" ht="26.25" thickBot="1">
      <c r="A5" s="56" t="s">
        <v>51</v>
      </c>
      <c r="B5" s="57" t="s">
        <v>52</v>
      </c>
      <c r="C5" s="58" t="s">
        <v>53</v>
      </c>
      <c r="D5" s="58" t="s">
        <v>54</v>
      </c>
      <c r="E5" s="58" t="s">
        <v>55</v>
      </c>
      <c r="F5" s="57" t="s">
        <v>56</v>
      </c>
      <c r="G5" s="57" t="s">
        <v>57</v>
      </c>
      <c r="H5" s="57" t="s">
        <v>21</v>
      </c>
      <c r="I5" s="59" t="s">
        <v>17</v>
      </c>
    </row>
    <row r="6" spans="1:9" ht="25.5">
      <c r="A6" s="60"/>
      <c r="B6" s="61" t="s">
        <v>58</v>
      </c>
      <c r="C6" s="62" t="s">
        <v>59</v>
      </c>
      <c r="D6" s="62" t="s">
        <v>60</v>
      </c>
      <c r="E6" s="62" t="s">
        <v>58</v>
      </c>
      <c r="F6" s="61" t="s">
        <v>61</v>
      </c>
      <c r="G6" s="61" t="s">
        <v>62</v>
      </c>
      <c r="H6" s="61" t="s">
        <v>63</v>
      </c>
      <c r="I6" s="61" t="s">
        <v>64</v>
      </c>
    </row>
    <row r="7" spans="1:9" ht="15">
      <c r="A7" s="63">
        <v>1</v>
      </c>
      <c r="B7" s="64">
        <f>SUM(100/15)</f>
        <v>6.666666666666667</v>
      </c>
      <c r="C7" s="65">
        <f>SUM(100/20)</f>
        <v>5</v>
      </c>
      <c r="D7" s="65">
        <f>SUM(100/18.75)</f>
        <v>5.333333333333333</v>
      </c>
      <c r="E7" s="65">
        <f>SUM(100/15)</f>
        <v>6.666666666666667</v>
      </c>
      <c r="F7" s="64">
        <f>SUM(100/24)</f>
        <v>4.166666666666667</v>
      </c>
      <c r="G7" s="64">
        <f>SUM(100/30)</f>
        <v>3.3333333333333335</v>
      </c>
      <c r="H7" s="64">
        <f>SUM(100/35)</f>
        <v>2.857142857142857</v>
      </c>
      <c r="I7" s="64">
        <f>SUM(100/21.5)</f>
        <v>4.651162790697675</v>
      </c>
    </row>
    <row r="8" spans="1:9" ht="15">
      <c r="A8" s="63">
        <v>2</v>
      </c>
      <c r="B8" s="64">
        <f>SUM(B7+6.6667)</f>
        <v>13.333366666666667</v>
      </c>
      <c r="C8" s="65">
        <f>SUM(C7+5)</f>
        <v>10</v>
      </c>
      <c r="D8" s="65">
        <f>SUM(D7+5.3333)</f>
        <v>10.666633333333333</v>
      </c>
      <c r="E8" s="65">
        <f>SUM(E7+6.6667)</f>
        <v>13.333366666666667</v>
      </c>
      <c r="F8" s="64">
        <f>SUM(F7+4.1667)</f>
        <v>8.333366666666667</v>
      </c>
      <c r="G8" s="64">
        <f>SUM(G7+3.3333)</f>
        <v>6.666633333333333</v>
      </c>
      <c r="H8" s="64">
        <f>SUM(H7+2.8571)</f>
        <v>5.714242857142857</v>
      </c>
      <c r="I8" s="64">
        <f>SUM(I7+4.6512)</f>
        <v>9.302362790697675</v>
      </c>
    </row>
    <row r="9" spans="1:9" ht="15">
      <c r="A9" s="63">
        <v>3</v>
      </c>
      <c r="B9" s="64">
        <f aca="true" t="shared" si="0" ref="B9:B21">SUM(B8+6.6667)</f>
        <v>20.000066666666665</v>
      </c>
      <c r="C9" s="65">
        <f aca="true" t="shared" si="1" ref="C9:C26">SUM(C8+5)</f>
        <v>15</v>
      </c>
      <c r="D9" s="65">
        <f aca="true" t="shared" si="2" ref="D9:D25">SUM(D8+5.3333)</f>
        <v>15.999933333333335</v>
      </c>
      <c r="E9" s="65">
        <f aca="true" t="shared" si="3" ref="E9:E21">SUM(E8+6.6667)</f>
        <v>20.000066666666665</v>
      </c>
      <c r="F9" s="64">
        <f aca="true" t="shared" si="4" ref="F9:F30">SUM(F8+4.1667)</f>
        <v>12.500066666666665</v>
      </c>
      <c r="G9" s="64">
        <f aca="true" t="shared" si="5" ref="G9:G36">SUM(G8+3.3333)</f>
        <v>9.999933333333333</v>
      </c>
      <c r="H9" s="64">
        <f aca="true" t="shared" si="6" ref="H9:H41">SUM(H8+2.8571)</f>
        <v>8.571342857142856</v>
      </c>
      <c r="I9" s="64">
        <f aca="true" t="shared" si="7" ref="I9:I28">SUM(I8+4.6512)</f>
        <v>13.953562790697674</v>
      </c>
    </row>
    <row r="10" spans="1:9" ht="15">
      <c r="A10" s="63">
        <v>4</v>
      </c>
      <c r="B10" s="64">
        <f t="shared" si="0"/>
        <v>26.666766666666664</v>
      </c>
      <c r="C10" s="65">
        <f t="shared" si="1"/>
        <v>20</v>
      </c>
      <c r="D10" s="65">
        <f t="shared" si="2"/>
        <v>21.333233333333336</v>
      </c>
      <c r="E10" s="65">
        <f t="shared" si="3"/>
        <v>26.666766666666664</v>
      </c>
      <c r="F10" s="64">
        <f t="shared" si="4"/>
        <v>16.666766666666664</v>
      </c>
      <c r="G10" s="64">
        <f t="shared" si="5"/>
        <v>13.333233333333332</v>
      </c>
      <c r="H10" s="64">
        <f t="shared" si="6"/>
        <v>11.428442857142855</v>
      </c>
      <c r="I10" s="64">
        <f t="shared" si="7"/>
        <v>18.604762790697674</v>
      </c>
    </row>
    <row r="11" spans="1:9" ht="15">
      <c r="A11" s="63">
        <v>5</v>
      </c>
      <c r="B11" s="64">
        <f t="shared" si="0"/>
        <v>33.333466666666666</v>
      </c>
      <c r="C11" s="65">
        <f t="shared" si="1"/>
        <v>25</v>
      </c>
      <c r="D11" s="65">
        <f t="shared" si="2"/>
        <v>26.666533333333337</v>
      </c>
      <c r="E11" s="65">
        <f t="shared" si="3"/>
        <v>33.333466666666666</v>
      </c>
      <c r="F11" s="64">
        <f t="shared" si="4"/>
        <v>20.833466666666663</v>
      </c>
      <c r="G11" s="64">
        <f t="shared" si="5"/>
        <v>16.666533333333334</v>
      </c>
      <c r="H11" s="64">
        <f t="shared" si="6"/>
        <v>14.285542857142854</v>
      </c>
      <c r="I11" s="64">
        <f t="shared" si="7"/>
        <v>23.255962790697673</v>
      </c>
    </row>
    <row r="12" spans="1:9" ht="15">
      <c r="A12" s="63">
        <v>6</v>
      </c>
      <c r="B12" s="64">
        <f t="shared" si="0"/>
        <v>40.000166666666665</v>
      </c>
      <c r="C12" s="65">
        <f t="shared" si="1"/>
        <v>30</v>
      </c>
      <c r="D12" s="65">
        <f t="shared" si="2"/>
        <v>31.99983333333334</v>
      </c>
      <c r="E12" s="65">
        <f t="shared" si="3"/>
        <v>40.000166666666665</v>
      </c>
      <c r="F12" s="64">
        <f t="shared" si="4"/>
        <v>25.00016666666666</v>
      </c>
      <c r="G12" s="64">
        <f t="shared" si="5"/>
        <v>19.999833333333335</v>
      </c>
      <c r="H12" s="64">
        <f t="shared" si="6"/>
        <v>17.142642857142853</v>
      </c>
      <c r="I12" s="64">
        <f t="shared" si="7"/>
        <v>27.907162790697672</v>
      </c>
    </row>
    <row r="13" spans="1:9" ht="15">
      <c r="A13" s="63">
        <v>7</v>
      </c>
      <c r="B13" s="64">
        <f t="shared" si="0"/>
        <v>46.666866666666664</v>
      </c>
      <c r="C13" s="65">
        <f t="shared" si="1"/>
        <v>35</v>
      </c>
      <c r="D13" s="65">
        <f t="shared" si="2"/>
        <v>37.333133333333336</v>
      </c>
      <c r="E13" s="65">
        <f t="shared" si="3"/>
        <v>46.666866666666664</v>
      </c>
      <c r="F13" s="64">
        <f t="shared" si="4"/>
        <v>29.16686666666666</v>
      </c>
      <c r="G13" s="64">
        <f t="shared" si="5"/>
        <v>23.333133333333336</v>
      </c>
      <c r="H13" s="64">
        <f t="shared" si="6"/>
        <v>19.999742857142852</v>
      </c>
      <c r="I13" s="64">
        <f t="shared" si="7"/>
        <v>32.55836279069767</v>
      </c>
    </row>
    <row r="14" spans="1:9" ht="15">
      <c r="A14" s="63">
        <v>8</v>
      </c>
      <c r="B14" s="64">
        <f t="shared" si="0"/>
        <v>53.33356666666666</v>
      </c>
      <c r="C14" s="65">
        <f t="shared" si="1"/>
        <v>40</v>
      </c>
      <c r="D14" s="65">
        <f t="shared" si="2"/>
        <v>42.66643333333334</v>
      </c>
      <c r="E14" s="65">
        <f t="shared" si="3"/>
        <v>53.33356666666666</v>
      </c>
      <c r="F14" s="64">
        <f t="shared" si="4"/>
        <v>33.33356666666666</v>
      </c>
      <c r="G14" s="64">
        <f t="shared" si="5"/>
        <v>26.666433333333337</v>
      </c>
      <c r="H14" s="64">
        <f t="shared" si="6"/>
        <v>22.85684285714285</v>
      </c>
      <c r="I14" s="64">
        <f t="shared" si="7"/>
        <v>37.209562790697674</v>
      </c>
    </row>
    <row r="15" spans="1:9" ht="15">
      <c r="A15" s="63">
        <v>9</v>
      </c>
      <c r="B15" s="64">
        <f t="shared" si="0"/>
        <v>60.00026666666666</v>
      </c>
      <c r="C15" s="65">
        <f t="shared" si="1"/>
        <v>45</v>
      </c>
      <c r="D15" s="65">
        <f t="shared" si="2"/>
        <v>47.99973333333334</v>
      </c>
      <c r="E15" s="65">
        <f t="shared" si="3"/>
        <v>60.00026666666666</v>
      </c>
      <c r="F15" s="64">
        <f t="shared" si="4"/>
        <v>37.50026666666666</v>
      </c>
      <c r="G15" s="64">
        <f t="shared" si="5"/>
        <v>29.99973333333334</v>
      </c>
      <c r="H15" s="64">
        <f t="shared" si="6"/>
        <v>25.71394285714285</v>
      </c>
      <c r="I15" s="64">
        <f t="shared" si="7"/>
        <v>41.86076279069768</v>
      </c>
    </row>
    <row r="16" spans="1:9" ht="15">
      <c r="A16" s="63">
        <v>10</v>
      </c>
      <c r="B16" s="64">
        <f t="shared" si="0"/>
        <v>66.66696666666667</v>
      </c>
      <c r="C16" s="65">
        <f t="shared" si="1"/>
        <v>50</v>
      </c>
      <c r="D16" s="65">
        <f t="shared" si="2"/>
        <v>53.33303333333334</v>
      </c>
      <c r="E16" s="65">
        <f t="shared" si="3"/>
        <v>66.66696666666667</v>
      </c>
      <c r="F16" s="64">
        <f t="shared" si="4"/>
        <v>41.66696666666666</v>
      </c>
      <c r="G16" s="64">
        <f t="shared" si="5"/>
        <v>33.33303333333334</v>
      </c>
      <c r="H16" s="64">
        <f t="shared" si="6"/>
        <v>28.57104285714285</v>
      </c>
      <c r="I16" s="64">
        <f t="shared" si="7"/>
        <v>46.51196279069768</v>
      </c>
    </row>
    <row r="17" spans="1:9" ht="15">
      <c r="A17" s="63">
        <v>11</v>
      </c>
      <c r="B17" s="64">
        <f t="shared" si="0"/>
        <v>73.33366666666667</v>
      </c>
      <c r="C17" s="65">
        <f t="shared" si="1"/>
        <v>55</v>
      </c>
      <c r="D17" s="65">
        <f t="shared" si="2"/>
        <v>58.66633333333334</v>
      </c>
      <c r="E17" s="65">
        <f t="shared" si="3"/>
        <v>73.33366666666667</v>
      </c>
      <c r="F17" s="64">
        <f t="shared" si="4"/>
        <v>45.83366666666666</v>
      </c>
      <c r="G17" s="64">
        <f t="shared" si="5"/>
        <v>36.66633333333334</v>
      </c>
      <c r="H17" s="64">
        <f t="shared" si="6"/>
        <v>31.42814285714285</v>
      </c>
      <c r="I17" s="64">
        <f t="shared" si="7"/>
        <v>51.16316279069768</v>
      </c>
    </row>
    <row r="18" spans="1:9" ht="15">
      <c r="A18" s="63">
        <v>12</v>
      </c>
      <c r="B18" s="64">
        <f t="shared" si="0"/>
        <v>80.00036666666668</v>
      </c>
      <c r="C18" s="65">
        <f t="shared" si="1"/>
        <v>60</v>
      </c>
      <c r="D18" s="65">
        <f t="shared" si="2"/>
        <v>63.99963333333334</v>
      </c>
      <c r="E18" s="65">
        <f t="shared" si="3"/>
        <v>80.00036666666668</v>
      </c>
      <c r="F18" s="64">
        <f t="shared" si="4"/>
        <v>50.00036666666666</v>
      </c>
      <c r="G18" s="64">
        <f t="shared" si="5"/>
        <v>39.99963333333334</v>
      </c>
      <c r="H18" s="64">
        <f t="shared" si="6"/>
        <v>34.28524285714285</v>
      </c>
      <c r="I18" s="64">
        <f t="shared" si="7"/>
        <v>55.814362790697686</v>
      </c>
    </row>
    <row r="19" spans="1:9" ht="15">
      <c r="A19" s="63">
        <v>13</v>
      </c>
      <c r="B19" s="64">
        <f t="shared" si="0"/>
        <v>86.66706666666668</v>
      </c>
      <c r="C19" s="65">
        <f t="shared" si="1"/>
        <v>65</v>
      </c>
      <c r="D19" s="65">
        <f t="shared" si="2"/>
        <v>69.33293333333334</v>
      </c>
      <c r="E19" s="65">
        <f t="shared" si="3"/>
        <v>86.66706666666668</v>
      </c>
      <c r="F19" s="64">
        <f t="shared" si="4"/>
        <v>54.167066666666656</v>
      </c>
      <c r="G19" s="64">
        <f t="shared" si="5"/>
        <v>43.332933333333344</v>
      </c>
      <c r="H19" s="64">
        <f t="shared" si="6"/>
        <v>37.14234285714285</v>
      </c>
      <c r="I19" s="64">
        <f t="shared" si="7"/>
        <v>60.46556279069769</v>
      </c>
    </row>
    <row r="20" spans="1:9" ht="15">
      <c r="A20" s="63">
        <v>14</v>
      </c>
      <c r="B20" s="64">
        <f t="shared" si="0"/>
        <v>93.33376666666669</v>
      </c>
      <c r="C20" s="65">
        <f t="shared" si="1"/>
        <v>70</v>
      </c>
      <c r="D20" s="65">
        <f t="shared" si="2"/>
        <v>74.66623333333334</v>
      </c>
      <c r="E20" s="65">
        <f t="shared" si="3"/>
        <v>93.33376666666669</v>
      </c>
      <c r="F20" s="64">
        <f t="shared" si="4"/>
        <v>58.333766666666655</v>
      </c>
      <c r="G20" s="64">
        <f t="shared" si="5"/>
        <v>46.666233333333345</v>
      </c>
      <c r="H20" s="64">
        <f t="shared" si="6"/>
        <v>39.99944285714285</v>
      </c>
      <c r="I20" s="64">
        <f t="shared" si="7"/>
        <v>65.11676279069769</v>
      </c>
    </row>
    <row r="21" spans="1:9" ht="15">
      <c r="A21" s="63">
        <v>15</v>
      </c>
      <c r="B21" s="64">
        <f t="shared" si="0"/>
        <v>100.0004666666667</v>
      </c>
      <c r="C21" s="65">
        <f t="shared" si="1"/>
        <v>75</v>
      </c>
      <c r="D21" s="65">
        <f t="shared" si="2"/>
        <v>79.99953333333333</v>
      </c>
      <c r="E21" s="65">
        <f t="shared" si="3"/>
        <v>100.0004666666667</v>
      </c>
      <c r="F21" s="64">
        <f t="shared" si="4"/>
        <v>62.500466666666654</v>
      </c>
      <c r="G21" s="64">
        <f t="shared" si="5"/>
        <v>49.999533333333346</v>
      </c>
      <c r="H21" s="64">
        <f t="shared" si="6"/>
        <v>42.856542857142855</v>
      </c>
      <c r="I21" s="64">
        <f t="shared" si="7"/>
        <v>69.7679627906977</v>
      </c>
    </row>
    <row r="22" spans="1:9" ht="15">
      <c r="A22" s="63">
        <v>16</v>
      </c>
      <c r="B22" s="64"/>
      <c r="C22" s="65">
        <f t="shared" si="1"/>
        <v>80</v>
      </c>
      <c r="D22" s="65">
        <f t="shared" si="2"/>
        <v>85.33283333333333</v>
      </c>
      <c r="E22" s="65"/>
      <c r="F22" s="64">
        <f t="shared" si="4"/>
        <v>66.66716666666666</v>
      </c>
      <c r="G22" s="64">
        <f t="shared" si="5"/>
        <v>53.33283333333335</v>
      </c>
      <c r="H22" s="64">
        <f t="shared" si="6"/>
        <v>45.71364285714286</v>
      </c>
      <c r="I22" s="64">
        <f t="shared" si="7"/>
        <v>74.4191627906977</v>
      </c>
    </row>
    <row r="23" spans="1:9" ht="15">
      <c r="A23" s="63">
        <v>17</v>
      </c>
      <c r="B23" s="64"/>
      <c r="C23" s="65">
        <f t="shared" si="1"/>
        <v>85</v>
      </c>
      <c r="D23" s="65">
        <f t="shared" si="2"/>
        <v>90.66613333333332</v>
      </c>
      <c r="E23" s="65"/>
      <c r="F23" s="64">
        <f t="shared" si="4"/>
        <v>70.83386666666667</v>
      </c>
      <c r="G23" s="64">
        <f t="shared" si="5"/>
        <v>56.66613333333335</v>
      </c>
      <c r="H23" s="64">
        <f t="shared" si="6"/>
        <v>48.57074285714286</v>
      </c>
      <c r="I23" s="64">
        <f t="shared" si="7"/>
        <v>79.0703627906977</v>
      </c>
    </row>
    <row r="24" spans="1:9" ht="15">
      <c r="A24" s="63">
        <v>18</v>
      </c>
      <c r="B24" s="64"/>
      <c r="C24" s="65">
        <f t="shared" si="1"/>
        <v>90</v>
      </c>
      <c r="D24" s="65">
        <f t="shared" si="2"/>
        <v>95.99943333333331</v>
      </c>
      <c r="E24" s="65"/>
      <c r="F24" s="64">
        <f t="shared" si="4"/>
        <v>75.00056666666667</v>
      </c>
      <c r="G24" s="64">
        <f t="shared" si="5"/>
        <v>59.99943333333335</v>
      </c>
      <c r="H24" s="64">
        <f t="shared" si="6"/>
        <v>51.42784285714286</v>
      </c>
      <c r="I24" s="64">
        <f t="shared" si="7"/>
        <v>83.7215627906977</v>
      </c>
    </row>
    <row r="25" spans="1:9" ht="15">
      <c r="A25" s="63">
        <v>19</v>
      </c>
      <c r="B25" s="64"/>
      <c r="C25" s="65">
        <f t="shared" si="1"/>
        <v>95</v>
      </c>
      <c r="D25" s="65">
        <f t="shared" si="2"/>
        <v>101.33273333333331</v>
      </c>
      <c r="E25" s="65"/>
      <c r="F25" s="64">
        <f t="shared" si="4"/>
        <v>79.16726666666668</v>
      </c>
      <c r="G25" s="64">
        <f t="shared" si="5"/>
        <v>63.33273333333335</v>
      </c>
      <c r="H25" s="64">
        <f t="shared" si="6"/>
        <v>54.284942857142866</v>
      </c>
      <c r="I25" s="64">
        <f t="shared" si="7"/>
        <v>88.3727627906977</v>
      </c>
    </row>
    <row r="26" spans="1:9" ht="15">
      <c r="A26" s="63">
        <v>20</v>
      </c>
      <c r="B26" s="64"/>
      <c r="C26" s="65">
        <f t="shared" si="1"/>
        <v>100</v>
      </c>
      <c r="D26" s="65"/>
      <c r="E26" s="65"/>
      <c r="F26" s="64">
        <f t="shared" si="4"/>
        <v>83.33396666666668</v>
      </c>
      <c r="G26" s="64">
        <f t="shared" si="5"/>
        <v>66.66603333333335</v>
      </c>
      <c r="H26" s="64">
        <f t="shared" si="6"/>
        <v>57.14204285714287</v>
      </c>
      <c r="I26" s="64">
        <f t="shared" si="7"/>
        <v>93.02396279069771</v>
      </c>
    </row>
    <row r="27" spans="1:9" ht="15">
      <c r="A27" s="63">
        <v>21</v>
      </c>
      <c r="B27" s="64"/>
      <c r="C27" s="64"/>
      <c r="D27" s="64"/>
      <c r="E27" s="64"/>
      <c r="F27" s="64">
        <f t="shared" si="4"/>
        <v>87.50066666666669</v>
      </c>
      <c r="G27" s="64">
        <f t="shared" si="5"/>
        <v>69.99933333333334</v>
      </c>
      <c r="H27" s="64">
        <f t="shared" si="6"/>
        <v>59.99914285714287</v>
      </c>
      <c r="I27" s="64">
        <f t="shared" si="7"/>
        <v>97.67516279069771</v>
      </c>
    </row>
    <row r="28" spans="1:9" ht="15">
      <c r="A28" s="63">
        <v>22</v>
      </c>
      <c r="B28" s="64"/>
      <c r="C28" s="64"/>
      <c r="D28" s="64"/>
      <c r="E28" s="64"/>
      <c r="F28" s="64">
        <f t="shared" si="4"/>
        <v>91.6673666666667</v>
      </c>
      <c r="G28" s="64">
        <f t="shared" si="5"/>
        <v>73.33263333333333</v>
      </c>
      <c r="H28" s="64">
        <f t="shared" si="6"/>
        <v>62.856242857142874</v>
      </c>
      <c r="I28" s="64">
        <f t="shared" si="7"/>
        <v>102.32636279069771</v>
      </c>
    </row>
    <row r="29" spans="1:9" ht="15">
      <c r="A29" s="63">
        <v>23</v>
      </c>
      <c r="B29" s="64"/>
      <c r="C29" s="64"/>
      <c r="D29" s="64"/>
      <c r="E29" s="64"/>
      <c r="F29" s="64">
        <f t="shared" si="4"/>
        <v>95.8340666666667</v>
      </c>
      <c r="G29" s="64">
        <f t="shared" si="5"/>
        <v>76.66593333333333</v>
      </c>
      <c r="H29" s="64">
        <f t="shared" si="6"/>
        <v>65.71334285714288</v>
      </c>
      <c r="I29" s="64"/>
    </row>
    <row r="30" spans="1:9" ht="15">
      <c r="A30" s="63">
        <v>24</v>
      </c>
      <c r="B30" s="64"/>
      <c r="C30" s="64"/>
      <c r="D30" s="64"/>
      <c r="E30" s="64"/>
      <c r="F30" s="64">
        <f t="shared" si="4"/>
        <v>100.0007666666667</v>
      </c>
      <c r="G30" s="64">
        <f t="shared" si="5"/>
        <v>79.99923333333332</v>
      </c>
      <c r="H30" s="64">
        <f t="shared" si="6"/>
        <v>68.57044285714288</v>
      </c>
      <c r="I30" s="64"/>
    </row>
    <row r="31" spans="1:9" ht="15">
      <c r="A31" s="63">
        <v>25</v>
      </c>
      <c r="B31" s="64"/>
      <c r="C31" s="64"/>
      <c r="D31" s="64"/>
      <c r="E31" s="64"/>
      <c r="F31" s="64"/>
      <c r="G31" s="64">
        <f t="shared" si="5"/>
        <v>83.33253333333332</v>
      </c>
      <c r="H31" s="64">
        <f t="shared" si="6"/>
        <v>71.42754285714288</v>
      </c>
      <c r="I31" s="64"/>
    </row>
    <row r="32" spans="1:9" ht="15">
      <c r="A32" s="63">
        <v>26</v>
      </c>
      <c r="B32" s="64"/>
      <c r="C32" s="64"/>
      <c r="D32" s="64"/>
      <c r="E32" s="64"/>
      <c r="F32" s="64"/>
      <c r="G32" s="64">
        <f t="shared" si="5"/>
        <v>86.66583333333331</v>
      </c>
      <c r="H32" s="64">
        <f t="shared" si="6"/>
        <v>74.28464285714288</v>
      </c>
      <c r="I32" s="64"/>
    </row>
    <row r="33" spans="1:9" ht="15">
      <c r="A33" s="63">
        <v>27</v>
      </c>
      <c r="B33" s="64"/>
      <c r="C33" s="64"/>
      <c r="D33" s="64"/>
      <c r="E33" s="64"/>
      <c r="F33" s="64"/>
      <c r="G33" s="64">
        <f t="shared" si="5"/>
        <v>89.9991333333333</v>
      </c>
      <c r="H33" s="64">
        <f t="shared" si="6"/>
        <v>77.14174285714289</v>
      </c>
      <c r="I33" s="64"/>
    </row>
    <row r="34" spans="1:9" ht="15">
      <c r="A34" s="63">
        <v>28</v>
      </c>
      <c r="B34" s="64"/>
      <c r="C34" s="64"/>
      <c r="D34" s="64"/>
      <c r="E34" s="64"/>
      <c r="F34" s="64"/>
      <c r="G34" s="64">
        <f t="shared" si="5"/>
        <v>93.3324333333333</v>
      </c>
      <c r="H34" s="64">
        <f t="shared" si="6"/>
        <v>79.99884285714289</v>
      </c>
      <c r="I34" s="64"/>
    </row>
    <row r="35" spans="1:9" ht="15">
      <c r="A35" s="63">
        <v>29</v>
      </c>
      <c r="B35" s="64"/>
      <c r="C35" s="64"/>
      <c r="D35" s="64"/>
      <c r="E35" s="64"/>
      <c r="F35" s="64"/>
      <c r="G35" s="64">
        <f t="shared" si="5"/>
        <v>96.66573333333329</v>
      </c>
      <c r="H35" s="64">
        <f t="shared" si="6"/>
        <v>82.85594285714289</v>
      </c>
      <c r="I35" s="64"/>
    </row>
    <row r="36" spans="1:9" ht="15">
      <c r="A36" s="63">
        <v>30</v>
      </c>
      <c r="B36" s="64"/>
      <c r="C36" s="64"/>
      <c r="D36" s="64"/>
      <c r="E36" s="64"/>
      <c r="F36" s="64"/>
      <c r="G36" s="64">
        <f t="shared" si="5"/>
        <v>99.99903333333329</v>
      </c>
      <c r="H36" s="64">
        <f t="shared" si="6"/>
        <v>85.7130428571429</v>
      </c>
      <c r="I36" s="64"/>
    </row>
    <row r="37" spans="1:9" ht="15">
      <c r="A37" s="63">
        <v>31</v>
      </c>
      <c r="B37" s="64"/>
      <c r="C37" s="64"/>
      <c r="D37" s="64"/>
      <c r="E37" s="64"/>
      <c r="F37" s="64"/>
      <c r="G37" s="64"/>
      <c r="H37" s="64">
        <f t="shared" si="6"/>
        <v>88.5701428571429</v>
      </c>
      <c r="I37" s="64"/>
    </row>
    <row r="38" spans="1:9" ht="15">
      <c r="A38" s="63">
        <v>32</v>
      </c>
      <c r="B38" s="64"/>
      <c r="C38" s="64"/>
      <c r="D38" s="64"/>
      <c r="E38" s="64"/>
      <c r="F38" s="64"/>
      <c r="G38" s="64"/>
      <c r="H38" s="64">
        <f t="shared" si="6"/>
        <v>91.4272428571429</v>
      </c>
      <c r="I38" s="64"/>
    </row>
    <row r="39" spans="1:9" ht="15">
      <c r="A39" s="63">
        <v>33</v>
      </c>
      <c r="B39" s="64"/>
      <c r="C39" s="64"/>
      <c r="D39" s="64"/>
      <c r="E39" s="64"/>
      <c r="F39" s="64"/>
      <c r="G39" s="64"/>
      <c r="H39" s="64">
        <f t="shared" si="6"/>
        <v>94.2843428571429</v>
      </c>
      <c r="I39" s="64"/>
    </row>
    <row r="40" spans="1:9" ht="15">
      <c r="A40" s="63">
        <v>34</v>
      </c>
      <c r="B40" s="64"/>
      <c r="C40" s="64"/>
      <c r="D40" s="64"/>
      <c r="E40" s="64"/>
      <c r="F40" s="64"/>
      <c r="G40" s="64"/>
      <c r="H40" s="64">
        <f t="shared" si="6"/>
        <v>97.1414428571429</v>
      </c>
      <c r="I40" s="64"/>
    </row>
    <row r="41" spans="1:9" ht="15">
      <c r="A41" s="63">
        <v>35</v>
      </c>
      <c r="B41" s="64"/>
      <c r="C41" s="64"/>
      <c r="D41" s="64"/>
      <c r="E41" s="64"/>
      <c r="F41" s="64"/>
      <c r="G41" s="64"/>
      <c r="H41" s="64">
        <f t="shared" si="6"/>
        <v>99.99854285714291</v>
      </c>
      <c r="I41" s="64"/>
    </row>
    <row r="42" ht="15">
      <c r="A42" s="6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Adams, Joshua</dc:creator>
  <cp:keywords/>
  <dc:description/>
  <cp:lastModifiedBy>Crocker, Chas</cp:lastModifiedBy>
  <cp:lastPrinted>2023-01-09T23:17:06Z</cp:lastPrinted>
  <dcterms:created xsi:type="dcterms:W3CDTF">2019-11-21T23:17:16Z</dcterms:created>
  <dcterms:modified xsi:type="dcterms:W3CDTF">2023-01-09T23:17:20Z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0x010100F050B2832453DD458F1DAF75E61692B6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